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fficeRnD - Hybrid Work Calcula" sheetId="1" r:id="rId4"/>
    <sheet state="visible" name="Benchmarks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9">
      <text>
        <t xml:space="preserve">Due to time saved from commuting</t>
      </text>
    </comment>
    <comment authorId="0" ref="B11">
      <text>
        <t xml:space="preserve">Policy Options:
- Strict - Remote employees are required to be in the office for the day that have been outlined in the policy.
- Relaxed - Remote employees have suggested days to be in the office but there is no expectation for compliance.
- No Policy - The company hasn't created or communicated any hybrid work policy to guide the employees
Learn more: https://www.officernd.com/resources/ebook-hybrid-work-guidelines-policies/</t>
      </text>
    </comment>
    <comment authorId="0" ref="B13">
      <text>
        <t xml:space="preserve">Input amount in GBP or USD if you provide. Leave blank if you do not.</t>
      </text>
    </comment>
    <comment authorId="0" ref="E13">
      <text>
        <t xml:space="preserve">Annual amortization:
- Laptop - 3 yrs useful life
- Furniture - 5 urs useful life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3">
      <text>
        <t xml:space="preserve">Source: https://www.iotacommunications.com/blog/average-utility-cost-per-square-foot-commercial-property/</t>
      </text>
    </comment>
    <comment authorId="0" ref="C3">
      <text>
        <t xml:space="preserve">Check 
Source: https://www.lsh.co.uk/-/media/files/lsh/research/2020/tocs2020data_v1</t>
      </text>
    </comment>
    <comment authorId="0" ref="B4">
      <text>
        <t xml:space="preserve">Average price in New York as of Jan-2023
Source (footer): https://www.squarefoot.com/office-space/m/ny/new-york/635d40e4-ee2c-4144-8c95-040714888811</t>
      </text>
    </comment>
    <comment authorId="0" ref="C4">
      <text>
        <t xml:space="preserve">Average cost for a new building across reported regions in London.
Source: https://www.lsh.co.uk/-/media/files/lsh/research/2020/tocs2020data_v1</t>
      </text>
    </comment>
    <comment authorId="0" ref="B5">
      <text>
        <t xml:space="preserve">OpEx for New York City, excludes Utilities Cost
Source: 
https://www.boma.org/BOMA/Research-Resources/BOMA_2020_Office_Market_Study.aspx</t>
      </text>
    </comment>
    <comment authorId="0" ref="C5">
      <text>
        <t xml:space="preserve">Hard FM + Soft FM Costs - Utilities Costs (taken as a separate line item).
Source: https://www.lsh.co.uk/-/media/files/lsh/research/2020/tocs2020data_v1
Definitions:
https://www.lsh.co.uk/-/media/files/lsh/research/2020/tocs2020data_v1
</t>
      </text>
    </comment>
    <comment authorId="0" ref="B6">
      <text>
        <t xml:space="preserve">27.6 min in each direction, 55.2 min two-way. US, average.
Source: https://www.zippia.com/advice/average-commute-time-statistics/#:~:text=The%20average%20American%20commute%20time%20to%20and%20from%20work%20is,commute%20both%20ways%20each%20day.</t>
      </text>
    </comment>
    <comment authorId="0" ref="C6">
      <text>
        <t xml:space="preserve">Average 27 min. in each direction in 2021. 54 min / day
Source: https://www.gov.uk/government/statistics/transport-statistics-great-britain-2022/transport-statistics-great-britain-2022-domestic-travel</t>
      </text>
    </comment>
    <comment authorId="0" ref="B9">
      <text>
        <t xml:space="preserve">Source: https://www.zippia.com/advice/how-much-office-space-per-employee/</t>
      </text>
    </comment>
    <comment authorId="0" ref="C9">
      <text>
        <t xml:space="preserve">Source: https://www.zippia.com/advice/how-much-office-space-per-employee/</t>
      </text>
    </comment>
    <comment authorId="0" ref="B10">
      <text>
        <t xml:space="preserve">Range is between 26%-88%, taking a conservative reduction of 35%
Source: https://globalworkplaceanalytics.com/wp-content/uploads/edd/2021/01/The-Business-Case-for-Remote-Work-2021-Report-Final-Web-1.pdf</t>
      </text>
    </comment>
    <comment authorId="0" ref="A11">
      <text>
        <t xml:space="preserve">Assuming ThinkPad X1 Carbon Gen 10 (14” Intel) Laptop
Source: https://www.lenovo.com/us/en/p/laptops/thinkpad/thinkpadx1/thinkpad-x1-carbon-gen-10-(14-inch-intel)/len101t0009?orgRef=https%253A%252F%252Fwww.google.com%252F</t>
      </text>
    </comment>
  </commentList>
</comments>
</file>

<file path=xl/sharedStrings.xml><?xml version="1.0" encoding="utf-8"?>
<sst xmlns="http://schemas.openxmlformats.org/spreadsheetml/2006/main" count="63" uniqueCount="60">
  <si>
    <t>OfficeRnD Hybrid Work Savings Calculator</t>
  </si>
  <si>
    <t>Enter Assumptions</t>
  </si>
  <si>
    <t>Results</t>
  </si>
  <si>
    <t>Annual Employer Savings</t>
  </si>
  <si>
    <t>Benchmark Region</t>
  </si>
  <si>
    <t>USA</t>
  </si>
  <si>
    <t>Real Estate</t>
  </si>
  <si>
    <t>What's the total number of employees that can work remotely?</t>
  </si>
  <si>
    <t>Utilities</t>
  </si>
  <si>
    <t>Average number of days they can work remotely?</t>
  </si>
  <si>
    <t>Absenteeism</t>
  </si>
  <si>
    <t>Average annual salary of employees?</t>
  </si>
  <si>
    <t>Producitivty</t>
  </si>
  <si>
    <t>Number of Desks per Employee Ratio (Current)</t>
  </si>
  <si>
    <t>Total Employer Savings</t>
  </si>
  <si>
    <r>
      <rPr>
        <rFont val="Montserrat"/>
      </rPr>
      <t>What's your hybrid work policy? (</t>
    </r>
    <r>
      <rPr>
        <rFont val="Montserrat"/>
        <color rgb="FF1155CC"/>
        <u/>
      </rPr>
      <t>Learn More</t>
    </r>
    <r>
      <rPr>
        <rFont val="Montserrat"/>
      </rPr>
      <t>)</t>
    </r>
  </si>
  <si>
    <t>No Policy</t>
  </si>
  <si>
    <t>Common Areas Reduction?</t>
  </si>
  <si>
    <t>Annual Employer Costs</t>
  </si>
  <si>
    <t>Home office stipend per eligible remote employee?</t>
  </si>
  <si>
    <t>Hardware &amp; Home Office Furniture (Amortized)</t>
  </si>
  <si>
    <t>Hybrid Work Management Solution</t>
  </si>
  <si>
    <t>Total Employer Costs</t>
  </si>
  <si>
    <t>Net Employer Savings</t>
  </si>
  <si>
    <t>Net Employer Savings / Employee</t>
  </si>
  <si>
    <t>Net Employer Savings / Sq. Ft.</t>
  </si>
  <si>
    <t>ROI</t>
  </si>
  <si>
    <t>Calculated Inputs</t>
  </si>
  <si>
    <t>Savings Breakdown</t>
  </si>
  <si>
    <t>Variable</t>
  </si>
  <si>
    <t>Value</t>
  </si>
  <si>
    <t>Typical Annual Costs</t>
  </si>
  <si>
    <t>Before Hybrid Work</t>
  </si>
  <si>
    <t>After Hybrid Work (incl. OfficeRnD Hybrid Costs)</t>
  </si>
  <si>
    <t>Potential Savings</t>
  </si>
  <si>
    <t>Number of Desks per Employee  Ratio (Target - Hybrid Work Setup)</t>
  </si>
  <si>
    <t>Total Number of Desks Used By Employees Eligible to Work Remotely (Current)</t>
  </si>
  <si>
    <t xml:space="preserve">   Lease</t>
  </si>
  <si>
    <t>Total Number of Desks Used By Employees Eligible to Work Remotely (Target)</t>
  </si>
  <si>
    <t xml:space="preserve">   Facility Management Costs</t>
  </si>
  <si>
    <t>Total Sq. Ft Office Space (Current, used by remote eligible employees)</t>
  </si>
  <si>
    <t xml:space="preserve">   Utilities</t>
  </si>
  <si>
    <t>Total Sq. Ft Office Space (Target, used by remote eligible employees)</t>
  </si>
  <si>
    <t>Avg. Annual Absent Days</t>
  </si>
  <si>
    <t>Commuting</t>
  </si>
  <si>
    <t>Average Hourly Salary</t>
  </si>
  <si>
    <t>Total</t>
  </si>
  <si>
    <t>Commuting (Avg. Dayl, hrs, both ways)</t>
  </si>
  <si>
    <r>
      <rPr>
        <rFont val="Montserrat"/>
        <b/>
        <sz val="16.0"/>
      </rPr>
      <t xml:space="preserve">  </t>
    </r>
    <r>
      <rPr>
        <rFont val="Montserrat"/>
        <b/>
        <color rgb="FF1155CC"/>
        <sz val="16.0"/>
        <u/>
      </rPr>
      <t>https://www.officernd.com/hybrid-work/</t>
    </r>
  </si>
  <si>
    <t>Regional Benchmarks</t>
  </si>
  <si>
    <t>UK</t>
  </si>
  <si>
    <t>Average Utilities Cost Per Sq. Ft</t>
  </si>
  <si>
    <t xml:space="preserve">Lease - Price per Sq. Ft </t>
  </si>
  <si>
    <t>Additional FM Costs</t>
  </si>
  <si>
    <t>Average Commute Time</t>
  </si>
  <si>
    <t>Absenteeism Days</t>
  </si>
  <si>
    <t>Common Areas Per Person</t>
  </si>
  <si>
    <t>Average per Desk Area Per Person</t>
  </si>
  <si>
    <t xml:space="preserve">Reduction in Absenteeism </t>
  </si>
  <si>
    <t>Average Cost of a Laptop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</si>
</sst>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&quot;$&quot;#,##0.00"/>
    <numFmt numFmtId="166" formatCode="[$£]#,##0.00"/>
    <numFmt numFmtId="167" formatCode="[$£]#,##0"/>
  </numFmts>
  <fonts count="12">
    <font>
      <sz val="10.0"/>
      <color rgb="FF000000"/>
      <name val="Arial"/>
      <scheme val="minor"/>
    </font>
    <font>
      <b/>
      <sz val="24.0"/>
      <color theme="1"/>
      <name val="Montserrat"/>
    </font>
    <font>
      <color theme="1"/>
      <name val="Montserrat"/>
    </font>
    <font>
      <b/>
      <sz val="18.0"/>
      <color theme="1"/>
      <name val="Montserrat"/>
    </font>
    <font>
      <b/>
      <color theme="1"/>
      <name val="Montserrat"/>
    </font>
    <font/>
    <font>
      <b/>
      <i/>
      <color theme="1"/>
      <name val="Montserrat"/>
    </font>
    <font>
      <u/>
      <color rgb="FF0000FF"/>
      <name val="Montserrat"/>
    </font>
    <font>
      <color theme="1"/>
      <name val="Arial"/>
      <scheme val="minor"/>
    </font>
    <font>
      <b/>
      <color theme="1"/>
      <name val="Arial"/>
      <scheme val="minor"/>
    </font>
    <font>
      <i/>
      <color theme="1"/>
      <name val="Montserrat"/>
    </font>
    <font>
      <b/>
      <u/>
      <sz val="16.0"/>
      <color rgb="FF0000FF"/>
      <name val="Montserrat"/>
    </font>
  </fonts>
  <fills count="4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7CBBB4"/>
        <bgColor rgb="FF7CBBB4"/>
      </patternFill>
    </fill>
  </fills>
  <borders count="11">
    <border/>
    <border>
      <bottom style="thick">
        <color rgb="FF000000"/>
      </bottom>
    </border>
    <border>
      <bottom style="thin">
        <color rgb="FF000000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EFEFEF"/>
      </left>
      <right style="thin">
        <color rgb="FF000000"/>
      </right>
      <top style="thin">
        <color rgb="FFEFEFEF"/>
      </top>
      <bottom style="thin">
        <color rgb="FFEFEFEF"/>
      </bottom>
    </border>
    <border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Font="1"/>
    <xf borderId="0" fillId="0" fontId="3" numFmtId="0" xfId="0" applyAlignment="1" applyFont="1">
      <alignment horizontal="center" readingOrder="0"/>
    </xf>
    <xf borderId="1" fillId="0" fontId="4" numFmtId="0" xfId="0" applyAlignment="1" applyBorder="1" applyFont="1">
      <alignment readingOrder="0"/>
    </xf>
    <xf borderId="1" fillId="0" fontId="5" numFmtId="0" xfId="0" applyBorder="1" applyFont="1"/>
    <xf borderId="1" fillId="0" fontId="2" numFmtId="0" xfId="0" applyBorder="1" applyFont="1"/>
    <xf borderId="0" fillId="0" fontId="4" numFmtId="0" xfId="0" applyAlignment="1" applyFont="1">
      <alignment readingOrder="0"/>
    </xf>
    <xf borderId="2" fillId="0" fontId="4" numFmtId="0" xfId="0" applyAlignment="1" applyBorder="1" applyFont="1">
      <alignment readingOrder="0"/>
    </xf>
    <xf borderId="2" fillId="0" fontId="2" numFmtId="0" xfId="0" applyBorder="1" applyFont="1"/>
    <xf borderId="2" fillId="0" fontId="6" numFmtId="0" xfId="0" applyAlignment="1" applyBorder="1" applyFont="1">
      <alignment horizontal="right"/>
    </xf>
    <xf borderId="0" fillId="0" fontId="2" numFmtId="0" xfId="0" applyAlignment="1" applyFont="1">
      <alignment readingOrder="0"/>
    </xf>
    <xf borderId="3" fillId="2" fontId="4" numFmtId="0" xfId="0" applyAlignment="1" applyBorder="1" applyFill="1" applyFont="1">
      <alignment horizontal="right" readingOrder="0"/>
    </xf>
    <xf borderId="0" fillId="3" fontId="2" numFmtId="0" xfId="0" applyAlignment="1" applyFill="1" applyFont="1">
      <alignment readingOrder="0"/>
    </xf>
    <xf borderId="0" fillId="3" fontId="2" numFmtId="0" xfId="0" applyFont="1"/>
    <xf borderId="0" fillId="3" fontId="4" numFmtId="3" xfId="0" applyFont="1" applyNumberFormat="1"/>
    <xf borderId="3" fillId="2" fontId="4" numFmtId="0" xfId="0" applyAlignment="1" applyBorder="1" applyFont="1">
      <alignment readingOrder="0"/>
    </xf>
    <xf borderId="4" fillId="2" fontId="4" numFmtId="164" xfId="0" applyAlignment="1" applyBorder="1" applyFont="1" applyNumberFormat="1">
      <alignment readingOrder="0"/>
    </xf>
    <xf borderId="5" fillId="3" fontId="4" numFmtId="3" xfId="0" applyBorder="1" applyFont="1" applyNumberFormat="1"/>
    <xf borderId="0" fillId="0" fontId="4" numFmtId="3" xfId="0" applyFont="1" applyNumberFormat="1"/>
    <xf borderId="0" fillId="0" fontId="7" numFmtId="0" xfId="0" applyAlignment="1" applyFont="1">
      <alignment readingOrder="0"/>
    </xf>
    <xf borderId="0" fillId="2" fontId="8" numFmtId="0" xfId="0" applyAlignment="1" applyFont="1">
      <alignment readingOrder="0"/>
    </xf>
    <xf borderId="3" fillId="2" fontId="4" numFmtId="9" xfId="0" applyAlignment="1" applyBorder="1" applyFont="1" applyNumberFormat="1">
      <alignment readingOrder="0"/>
    </xf>
    <xf borderId="0" fillId="3" fontId="4" numFmtId="0" xfId="0" applyAlignment="1" applyFont="1">
      <alignment readingOrder="0"/>
    </xf>
    <xf borderId="0" fillId="3" fontId="4" numFmtId="4" xfId="0" applyFont="1" applyNumberFormat="1"/>
    <xf borderId="2" fillId="3" fontId="2" numFmtId="0" xfId="0" applyBorder="1" applyFont="1"/>
    <xf borderId="2" fillId="3" fontId="4" numFmtId="0" xfId="0" applyAlignment="1" applyBorder="1" applyFont="1">
      <alignment readingOrder="0"/>
    </xf>
    <xf borderId="2" fillId="3" fontId="4" numFmtId="10" xfId="0" applyBorder="1" applyFont="1" applyNumberFormat="1"/>
    <xf borderId="1" fillId="0" fontId="4" numFmtId="0" xfId="0" applyAlignment="1" applyBorder="1" applyFont="1">
      <alignment horizontal="left" readingOrder="0"/>
    </xf>
    <xf borderId="2" fillId="0" fontId="4" numFmtId="0" xfId="0" applyAlignment="1" applyBorder="1" applyFont="1">
      <alignment horizontal="right" readingOrder="0"/>
    </xf>
    <xf borderId="2" fillId="0" fontId="4" numFmtId="0" xfId="0" applyAlignment="1" applyBorder="1" applyFont="1">
      <alignment readingOrder="0" shrinkToFit="0" wrapText="1"/>
    </xf>
    <xf borderId="3" fillId="0" fontId="2" numFmtId="0" xfId="0" applyAlignment="1" applyBorder="1" applyFont="1">
      <alignment readingOrder="0"/>
    </xf>
    <xf borderId="0" fillId="0" fontId="2" numFmtId="3" xfId="0" applyFont="1" applyNumberFormat="1"/>
    <xf borderId="0" fillId="0" fontId="2" numFmtId="9" xfId="0" applyFont="1" applyNumberFormat="1"/>
    <xf borderId="0" fillId="0" fontId="2" numFmtId="164" xfId="0" applyFont="1" applyNumberFormat="1"/>
    <xf borderId="0" fillId="0" fontId="9" numFmtId="0" xfId="0" applyAlignment="1" applyFont="1">
      <alignment readingOrder="0"/>
    </xf>
    <xf borderId="0" fillId="0" fontId="10" numFmtId="0" xfId="0" applyFont="1"/>
    <xf borderId="0" fillId="3" fontId="11" numFmtId="0" xfId="0" applyAlignment="1" applyFont="1">
      <alignment horizontal="center" readingOrder="0"/>
    </xf>
    <xf borderId="6" fillId="0" fontId="4" numFmtId="0" xfId="0" applyAlignment="1" applyBorder="1" applyFont="1">
      <alignment horizontal="center" readingOrder="0"/>
    </xf>
    <xf borderId="7" fillId="0" fontId="5" numFmtId="0" xfId="0" applyBorder="1" applyFont="1"/>
    <xf borderId="8" fillId="0" fontId="5" numFmtId="0" xfId="0" applyBorder="1" applyFont="1"/>
    <xf borderId="9" fillId="0" fontId="2" numFmtId="0" xfId="0" applyBorder="1" applyFont="1"/>
    <xf borderId="9" fillId="0" fontId="4" numFmtId="0" xfId="0" applyAlignment="1" applyBorder="1" applyFont="1">
      <alignment readingOrder="0"/>
    </xf>
    <xf borderId="10" fillId="0" fontId="2" numFmtId="0" xfId="0" applyAlignment="1" applyBorder="1" applyFont="1">
      <alignment readingOrder="0"/>
    </xf>
    <xf borderId="10" fillId="0" fontId="2" numFmtId="165" xfId="0" applyAlignment="1" applyBorder="1" applyFont="1" applyNumberFormat="1">
      <alignment readingOrder="0"/>
    </xf>
    <xf borderId="10" fillId="0" fontId="2" numFmtId="166" xfId="0" applyAlignment="1" applyBorder="1" applyFont="1" applyNumberFormat="1">
      <alignment readingOrder="0"/>
    </xf>
    <xf borderId="10" fillId="0" fontId="2" numFmtId="165" xfId="0" applyAlignment="1" applyBorder="1" applyFont="1" applyNumberFormat="1">
      <alignment readingOrder="0"/>
    </xf>
    <xf borderId="10" fillId="0" fontId="2" numFmtId="0" xfId="0" applyBorder="1" applyFont="1"/>
    <xf borderId="10" fillId="0" fontId="2" numFmtId="2" xfId="0" applyBorder="1" applyFont="1" applyNumberFormat="1"/>
    <xf borderId="6" fillId="0" fontId="2" numFmtId="9" xfId="0" applyAlignment="1" applyBorder="1" applyFont="1" applyNumberFormat="1">
      <alignment horizontal="center" readingOrder="0"/>
    </xf>
    <xf borderId="10" fillId="0" fontId="2" numFmtId="164" xfId="0" applyAlignment="1" applyBorder="1" applyFont="1" applyNumberFormat="1">
      <alignment readingOrder="0"/>
    </xf>
    <xf borderId="10" fillId="0" fontId="2" numFmtId="167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Potential Savings From Transition to Hybrid Work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F6B26B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6D9EEB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'OfficeRnD - Hybrid Work Calcula'!$D$6:$D$9</c:f>
            </c:strRef>
          </c:cat>
          <c:val>
            <c:numRef>
              <c:f>'OfficeRnD - Hybrid Work Calcula'!$E$6:$E$9</c:f>
              <c:numCache/>
            </c:numRef>
          </c:val>
        </c:ser>
        <c:ser>
          <c:idx val="1"/>
          <c:order val="1"/>
          <c:cat>
            <c:strRef>
              <c:f>'OfficeRnD - Hybrid Work Calcula'!$D$6:$D$9</c:f>
            </c:strRef>
          </c:cat>
          <c:val>
            <c:numRef>
              <c:f>'OfficeRnD - Hybrid Work Calcula'!$F$6:$F$9</c:f>
              <c:numCache/>
            </c:numRef>
          </c:val>
        </c:ser>
        <c:axId val="2070136333"/>
        <c:axId val="2029315404"/>
      </c:barChart>
      <c:catAx>
        <c:axId val="20701363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29315404"/>
      </c:catAx>
      <c:valAx>
        <c:axId val="20293154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70136333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266700</xdr:colOff>
      <xdr:row>2</xdr:row>
      <xdr:rowOff>152400</xdr:rowOff>
    </xdr:from>
    <xdr:ext cx="5076825" cy="34290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officernd.com/resources/ebook-hybrid-work-guidelines-policies/" TargetMode="External"/><Relationship Id="rId3" Type="http://schemas.openxmlformats.org/officeDocument/2006/relationships/hyperlink" Target="https://www.officernd.com/hybrid-work/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8.38"/>
    <col customWidth="1" min="2" max="2" width="16.25"/>
    <col customWidth="1" min="3" max="3" width="7.0"/>
    <col customWidth="1" min="4" max="4" width="24.75"/>
    <col customWidth="1" min="5" max="5" width="30.38"/>
    <col customWidth="1" min="6" max="6" width="22.13"/>
    <col customWidth="1" min="7" max="7" width="16.25"/>
    <col customWidth="1" min="11" max="11" width="16.88"/>
  </cols>
  <sheetData>
    <row r="1" ht="51.0" customHeight="1">
      <c r="A1" s="1" t="s">
        <v>0</v>
      </c>
    </row>
    <row r="2" ht="11.25" customHeight="1">
      <c r="A2" s="2"/>
      <c r="B2" s="2"/>
      <c r="C2" s="2"/>
      <c r="D2" s="3"/>
      <c r="G2" s="2"/>
      <c r="H2" s="2"/>
      <c r="I2" s="2"/>
      <c r="J2" s="2"/>
      <c r="K2" s="2"/>
    </row>
    <row r="3">
      <c r="A3" s="4" t="s">
        <v>1</v>
      </c>
      <c r="B3" s="5"/>
      <c r="C3" s="2"/>
      <c r="D3" s="4" t="s">
        <v>2</v>
      </c>
      <c r="E3" s="5"/>
      <c r="F3" s="6"/>
      <c r="G3" s="2"/>
      <c r="H3" s="2"/>
      <c r="I3" s="2"/>
      <c r="J3" s="2"/>
      <c r="K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>
      <c r="A5" s="7"/>
      <c r="B5" s="2"/>
      <c r="C5" s="2"/>
      <c r="D5" s="8" t="s">
        <v>3</v>
      </c>
      <c r="E5" s="9"/>
      <c r="F5" s="10" t="str">
        <f>IF(B6="UK","Amounts in GBP","Amounts in USD")</f>
        <v>Amounts in USD</v>
      </c>
      <c r="G5" s="2"/>
      <c r="H5" s="2"/>
      <c r="I5" s="2"/>
      <c r="J5" s="2"/>
      <c r="K5" s="2"/>
    </row>
    <row r="6">
      <c r="A6" s="11" t="s">
        <v>4</v>
      </c>
      <c r="B6" s="12" t="s">
        <v>5</v>
      </c>
      <c r="C6" s="2"/>
      <c r="D6" s="13" t="s">
        <v>6</v>
      </c>
      <c r="E6" s="14"/>
      <c r="F6" s="15">
        <f>SUM(E27:E28)-SUM(F27:F28)</f>
        <v>1160460</v>
      </c>
      <c r="G6" s="2"/>
      <c r="H6" s="2"/>
      <c r="I6" s="2"/>
      <c r="J6" s="2"/>
      <c r="K6" s="2"/>
    </row>
    <row r="7">
      <c r="A7" s="11" t="s">
        <v>7</v>
      </c>
      <c r="B7" s="16">
        <v>200.0</v>
      </c>
      <c r="C7" s="2"/>
      <c r="D7" s="13" t="s">
        <v>8</v>
      </c>
      <c r="E7" s="14"/>
      <c r="F7" s="15">
        <f t="shared" ref="F7:F9" si="1">E29-F29</f>
        <v>272160</v>
      </c>
      <c r="G7" s="2"/>
      <c r="H7" s="2"/>
      <c r="I7" s="2"/>
      <c r="J7" s="2"/>
      <c r="K7" s="2"/>
    </row>
    <row r="8">
      <c r="A8" s="11" t="s">
        <v>9</v>
      </c>
      <c r="B8" s="16">
        <v>3.0</v>
      </c>
      <c r="C8" s="2"/>
      <c r="D8" s="13" t="s">
        <v>10</v>
      </c>
      <c r="E8" s="14"/>
      <c r="F8" s="15">
        <f t="shared" si="1"/>
        <v>224000</v>
      </c>
      <c r="G8" s="2"/>
      <c r="H8" s="2"/>
      <c r="I8" s="2"/>
      <c r="J8" s="2"/>
      <c r="K8" s="2"/>
    </row>
    <row r="9">
      <c r="A9" s="11" t="s">
        <v>11</v>
      </c>
      <c r="B9" s="17">
        <v>100000.0</v>
      </c>
      <c r="C9" s="2"/>
      <c r="D9" s="13" t="s">
        <v>12</v>
      </c>
      <c r="E9" s="14"/>
      <c r="F9" s="18">
        <f t="shared" si="1"/>
        <v>1380000</v>
      </c>
      <c r="G9" s="2"/>
      <c r="H9" s="2"/>
      <c r="I9" s="2"/>
      <c r="J9" s="2"/>
      <c r="K9" s="2"/>
    </row>
    <row r="10">
      <c r="A10" s="11" t="s">
        <v>13</v>
      </c>
      <c r="B10" s="16">
        <v>1.0</v>
      </c>
      <c r="C10" s="2"/>
      <c r="D10" s="11"/>
      <c r="E10" s="7" t="s">
        <v>14</v>
      </c>
      <c r="F10" s="19">
        <f>SUM(F6:F9)</f>
        <v>3036620</v>
      </c>
      <c r="G10" s="2"/>
      <c r="H10" s="2"/>
      <c r="I10" s="2"/>
      <c r="J10" s="2"/>
      <c r="K10" s="2"/>
    </row>
    <row r="11">
      <c r="A11" s="20" t="s">
        <v>15</v>
      </c>
      <c r="B11" s="21" t="s">
        <v>16</v>
      </c>
      <c r="C11" s="2"/>
      <c r="D11" s="2"/>
      <c r="E11" s="2"/>
      <c r="F11" s="2"/>
      <c r="G11" s="2"/>
      <c r="H11" s="2"/>
      <c r="I11" s="2"/>
      <c r="J11" s="2"/>
      <c r="K11" s="2"/>
    </row>
    <row r="12">
      <c r="A12" s="11" t="s">
        <v>17</v>
      </c>
      <c r="B12" s="22">
        <v>0.3</v>
      </c>
      <c r="C12" s="2"/>
      <c r="D12" s="8" t="s">
        <v>18</v>
      </c>
      <c r="E12" s="9"/>
      <c r="F12" s="10" t="str">
        <f>IF(B6="UK","Amounts in GBP","Amounts in USD")</f>
        <v>Amounts in USD</v>
      </c>
      <c r="G12" s="2"/>
      <c r="H12" s="2"/>
      <c r="I12" s="2"/>
      <c r="J12" s="2"/>
      <c r="K12" s="2"/>
    </row>
    <row r="13">
      <c r="A13" s="11" t="s">
        <v>19</v>
      </c>
      <c r="B13" s="16">
        <v>2000.0</v>
      </c>
      <c r="C13" s="2"/>
      <c r="D13" s="13" t="s">
        <v>20</v>
      </c>
      <c r="E13" s="14"/>
      <c r="F13" s="15">
        <f>IF(B6="USA",B7*(SUM((Benchmarks!B11/3),(B13/5))),IF(B6="UK",B7*(SUM((Benchmarks!C11/3),(B13/5))),0))</f>
        <v>157633.3333</v>
      </c>
      <c r="G13" s="2"/>
      <c r="H13" s="2"/>
      <c r="I13" s="2"/>
      <c r="J13" s="2"/>
      <c r="K13" s="2"/>
    </row>
    <row r="14">
      <c r="A14" s="2"/>
      <c r="B14" s="2"/>
      <c r="C14" s="2"/>
      <c r="D14" s="13" t="s">
        <v>21</v>
      </c>
      <c r="E14" s="14"/>
      <c r="F14" s="18">
        <f>IF(B28&lt;100,0,IF(AND(B28&gt;100,B28&lt;500),B28*3*12,B28*2*12))</f>
        <v>4320</v>
      </c>
      <c r="G14" s="2"/>
      <c r="H14" s="2"/>
      <c r="I14" s="2"/>
      <c r="J14" s="2"/>
      <c r="K14" s="2"/>
    </row>
    <row r="15">
      <c r="A15" s="2"/>
      <c r="B15" s="2"/>
      <c r="C15" s="2"/>
      <c r="D15" s="14"/>
      <c r="E15" s="23" t="s">
        <v>22</v>
      </c>
      <c r="F15" s="15">
        <f>SUM(F13:F14)</f>
        <v>161953.3333</v>
      </c>
      <c r="G15" s="2"/>
      <c r="H15" s="2"/>
      <c r="I15" s="2"/>
      <c r="J15" s="2"/>
      <c r="K15" s="2"/>
    </row>
    <row r="16">
      <c r="A16" s="2"/>
      <c r="B16" s="2"/>
      <c r="C16" s="2"/>
      <c r="D16" s="14"/>
      <c r="E16" s="14"/>
      <c r="F16" s="15"/>
      <c r="G16" s="2"/>
      <c r="H16" s="2"/>
      <c r="I16" s="2"/>
      <c r="J16" s="2"/>
      <c r="K16" s="2"/>
    </row>
    <row r="17">
      <c r="A17" s="2"/>
      <c r="B17" s="2"/>
      <c r="C17" s="2"/>
      <c r="D17" s="14"/>
      <c r="E17" s="23" t="s">
        <v>23</v>
      </c>
      <c r="F17" s="15">
        <f>F10-F15</f>
        <v>2874666.667</v>
      </c>
      <c r="G17" s="2"/>
      <c r="H17" s="2"/>
      <c r="I17" s="2"/>
      <c r="J17" s="2"/>
      <c r="K17" s="2"/>
    </row>
    <row r="18">
      <c r="A18" s="2"/>
      <c r="B18" s="2"/>
      <c r="C18" s="2"/>
      <c r="D18" s="14"/>
      <c r="E18" s="23" t="s">
        <v>24</v>
      </c>
      <c r="F18" s="24">
        <f>F17/B7</f>
        <v>14373.33333</v>
      </c>
      <c r="G18" s="2"/>
      <c r="H18" s="2"/>
      <c r="I18" s="2"/>
      <c r="J18" s="2"/>
      <c r="K18" s="2"/>
    </row>
    <row r="19">
      <c r="A19" s="2"/>
      <c r="B19" s="2"/>
      <c r="C19" s="2"/>
      <c r="D19" s="14"/>
      <c r="E19" s="23" t="s">
        <v>25</v>
      </c>
      <c r="F19" s="24">
        <f>F17/B30</f>
        <v>135.5974843</v>
      </c>
      <c r="G19" s="2"/>
      <c r="H19" s="9"/>
      <c r="I19" s="9"/>
      <c r="J19" s="9"/>
      <c r="K19" s="9"/>
    </row>
    <row r="20">
      <c r="A20" s="9"/>
      <c r="B20" s="9"/>
      <c r="C20" s="9"/>
      <c r="D20" s="25"/>
      <c r="E20" s="26" t="s">
        <v>26</v>
      </c>
      <c r="F20" s="27">
        <f>F10/F15</f>
        <v>18.74996913</v>
      </c>
      <c r="G20" s="9"/>
      <c r="H20" s="9"/>
      <c r="I20" s="9"/>
      <c r="J20" s="9"/>
      <c r="K20" s="9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>
      <c r="A24" s="28" t="s">
        <v>27</v>
      </c>
      <c r="B24" s="5"/>
      <c r="C24" s="2"/>
      <c r="D24" s="28" t="s">
        <v>28</v>
      </c>
      <c r="E24" s="5"/>
      <c r="F24" s="5"/>
      <c r="G24" s="5"/>
      <c r="H24" s="2"/>
      <c r="I24" s="2"/>
      <c r="J24" s="2"/>
      <c r="K24" s="2"/>
    </row>
    <row r="25">
      <c r="A25" s="8" t="s">
        <v>29</v>
      </c>
      <c r="B25" s="29" t="s">
        <v>30</v>
      </c>
      <c r="C25" s="2"/>
      <c r="D25" s="8" t="s">
        <v>31</v>
      </c>
      <c r="E25" s="30" t="s">
        <v>32</v>
      </c>
      <c r="F25" s="30" t="s">
        <v>33</v>
      </c>
      <c r="G25" s="8" t="s">
        <v>34</v>
      </c>
      <c r="H25" s="2"/>
      <c r="I25" s="2"/>
      <c r="J25" s="2"/>
      <c r="K25" s="2"/>
    </row>
    <row r="26">
      <c r="A26" s="11" t="s">
        <v>35</v>
      </c>
      <c r="B26" s="31">
        <f>IF(B11="Strict", 1.1*(1-(52*(5-B8)/(260))),IF(B11="Relaxed",0.9*(1-(52*(5-B8))/(260)),1-(52*(5-B8))/(260)))</f>
        <v>0.6</v>
      </c>
      <c r="C26" s="2"/>
      <c r="D26" s="7" t="s">
        <v>6</v>
      </c>
      <c r="E26" s="2"/>
      <c r="F26" s="2"/>
      <c r="H26" s="2"/>
      <c r="I26" s="2"/>
      <c r="J26" s="2"/>
      <c r="K26" s="2"/>
    </row>
    <row r="27">
      <c r="A27" s="11" t="s">
        <v>36</v>
      </c>
      <c r="B27" s="2">
        <f>B7*B10</f>
        <v>200</v>
      </c>
      <c r="C27" s="2"/>
      <c r="D27" s="11" t="s">
        <v>37</v>
      </c>
      <c r="E27" s="32">
        <f>IF(B6="UK",B29*Benchmarks!C4,IF(B6="USA",B29*Benchmarks!B4,"Error"))</f>
        <v>2588160</v>
      </c>
      <c r="F27" s="32">
        <f>IF(B6="UK",B30*Benchmarks!C4,IF(B6="USA",B30*Benchmarks!B4,"Error"))</f>
        <v>1714656</v>
      </c>
      <c r="G27" s="33">
        <f t="shared" ref="G27:G32" si="2">(E27-F27)/E27</f>
        <v>0.3375</v>
      </c>
      <c r="H27" s="2"/>
      <c r="I27" s="2"/>
      <c r="J27" s="2"/>
      <c r="K27" s="2"/>
    </row>
    <row r="28">
      <c r="A28" s="11" t="s">
        <v>38</v>
      </c>
      <c r="B28" s="2">
        <f>B7*B26</f>
        <v>120</v>
      </c>
      <c r="C28" s="2"/>
      <c r="D28" s="11" t="s">
        <v>39</v>
      </c>
      <c r="E28" s="32">
        <f>IF(B6="UK",B29*Benchmarks!C5,IF(B6="USA",B29*Benchmarks!B5,"Error"))</f>
        <v>850240</v>
      </c>
      <c r="F28" s="32">
        <f>IF(B6="UK",B30*Benchmarks!C5,IF(B6="USA",B30*Benchmarks!B5,"Error"))</f>
        <v>563284</v>
      </c>
      <c r="G28" s="33">
        <f t="shared" si="2"/>
        <v>0.3375</v>
      </c>
      <c r="H28" s="2"/>
      <c r="I28" s="2"/>
      <c r="J28" s="2"/>
      <c r="K28" s="2"/>
    </row>
    <row r="29">
      <c r="A29" s="11" t="s">
        <v>40</v>
      </c>
      <c r="B29" s="2">
        <f>IF(B6="UK",B7*Benchmarks!C8+(B27*Benchmarks!C9),IF(B6="USA",B7*Benchmarks!B8+(Benchmarks!B9*B27),"Error"))</f>
        <v>32000</v>
      </c>
      <c r="C29" s="2"/>
      <c r="D29" s="11" t="s">
        <v>41</v>
      </c>
      <c r="E29" s="32">
        <f>IF(B6="UK",B29*Benchmarks!C3,IF(B6="USA",B29*Benchmarks!B3,"Error"))</f>
        <v>806400</v>
      </c>
      <c r="F29" s="32">
        <f>IF(B6="UK",B30*Benchmarks!C3,IF(B6="USA",B30*Benchmarks!B3,"Error"))</f>
        <v>534240</v>
      </c>
      <c r="G29" s="33">
        <f t="shared" si="2"/>
        <v>0.3375</v>
      </c>
      <c r="H29" s="2"/>
      <c r="I29" s="2"/>
      <c r="J29" s="2"/>
      <c r="K29" s="2"/>
    </row>
    <row r="30">
      <c r="A30" s="11" t="s">
        <v>42</v>
      </c>
      <c r="B30" s="2">
        <f>IF(B6="UK",B7*Benchmarks!C8*(1-B12)+(B28*Benchmarks!C9),IF(B6="USA",B7*Benchmarks!B8*(1-B12)+(Benchmarks!B9*B28),"Error"))</f>
        <v>21200</v>
      </c>
      <c r="C30" s="2"/>
      <c r="D30" s="7" t="s">
        <v>10</v>
      </c>
      <c r="E30" s="32">
        <f>B32*8*B7*B31</f>
        <v>640000</v>
      </c>
      <c r="F30" s="32">
        <f>B32*8*B7*(1-Benchmarks!B10)*B31</f>
        <v>416000</v>
      </c>
      <c r="G30" s="33">
        <f t="shared" si="2"/>
        <v>0.35</v>
      </c>
      <c r="H30" s="2"/>
      <c r="I30" s="2"/>
      <c r="J30" s="2"/>
      <c r="K30" s="2"/>
    </row>
    <row r="31">
      <c r="A31" s="11" t="s">
        <v>43</v>
      </c>
      <c r="B31" s="11">
        <f>IF(B6="UK",Benchmarks!C7,IF(B6="USA",Benchmarks!B7,"Select a Region First"))</f>
        <v>8.32</v>
      </c>
      <c r="C31" s="2"/>
      <c r="D31" s="7" t="s">
        <v>44</v>
      </c>
      <c r="E31" s="32">
        <f>IF(B6="UK",B7*260*Benchmarks!C6*B32,IF(B6="USA",B7*260*Benchmarks!B6*B32,"Error"))</f>
        <v>2300000</v>
      </c>
      <c r="F31" s="32">
        <f>IF(B6="UK",B7*52*(5-B8)*Benchmarks!C6*B32,IF(B6="USA",B7*52*(5-B8)*Benchmarks!B6*B32,"Error"))</f>
        <v>920000</v>
      </c>
      <c r="G31" s="33">
        <f t="shared" si="2"/>
        <v>0.6</v>
      </c>
      <c r="H31" s="2"/>
      <c r="I31" s="2"/>
      <c r="J31" s="2"/>
      <c r="K31" s="2"/>
    </row>
    <row r="32">
      <c r="A32" s="11" t="s">
        <v>45</v>
      </c>
      <c r="B32" s="34">
        <f>B9/(260*8)</f>
        <v>48.07692308</v>
      </c>
      <c r="C32" s="2"/>
      <c r="D32" s="35" t="s">
        <v>46</v>
      </c>
      <c r="E32" s="32">
        <f t="shared" ref="E32:F32" si="3">SUM(E27:E31)</f>
        <v>7184800</v>
      </c>
      <c r="F32" s="32">
        <f t="shared" si="3"/>
        <v>4148180</v>
      </c>
      <c r="G32" s="33">
        <f t="shared" si="2"/>
        <v>0.4226450284</v>
      </c>
      <c r="H32" s="2"/>
      <c r="I32" s="2"/>
      <c r="J32" s="2"/>
      <c r="K32" s="2"/>
    </row>
    <row r="33">
      <c r="A33" s="11" t="s">
        <v>47</v>
      </c>
      <c r="B33" s="11">
        <v>0.9</v>
      </c>
      <c r="C33" s="2"/>
      <c r="D33" s="36" t="str">
        <f>IF(B6="UK","*Amounts in GBP","*Amounts in USD")</f>
        <v>*Amounts in USD</v>
      </c>
      <c r="E33" s="2"/>
      <c r="F33" s="2"/>
      <c r="G33" s="2"/>
      <c r="H33" s="2"/>
      <c r="I33" s="2"/>
      <c r="J33" s="2"/>
      <c r="K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>
      <c r="A35" s="37" t="s">
        <v>48</v>
      </c>
    </row>
  </sheetData>
  <mergeCells count="7">
    <mergeCell ref="A1:K1"/>
    <mergeCell ref="D2:F2"/>
    <mergeCell ref="A3:B3"/>
    <mergeCell ref="D3:E3"/>
    <mergeCell ref="A24:B24"/>
    <mergeCell ref="D24:G24"/>
    <mergeCell ref="A35:K35"/>
  </mergeCells>
  <dataValidations>
    <dataValidation type="decimal" allowBlank="1" showDropDown="1" sqref="B26">
      <formula1>0.4</formula1>
      <formula2>0.9</formula2>
    </dataValidation>
    <dataValidation type="list" allowBlank="1" sqref="B6">
      <formula1>"USA,UK"</formula1>
    </dataValidation>
    <dataValidation type="list" allowBlank="1" showErrorMessage="1" sqref="B12">
      <formula1>"0%,10%,20%,30%,40%,50%"</formula1>
    </dataValidation>
    <dataValidation type="list" allowBlank="1" showErrorMessage="1" sqref="B11">
      <formula1>"Strict,Relaxed,No Policy"</formula1>
    </dataValidation>
  </dataValidations>
  <hyperlinks>
    <hyperlink r:id="rId2" ref="A11"/>
    <hyperlink r:id="rId3" ref="A35"/>
  </hyperlin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38"/>
  </cols>
  <sheetData>
    <row r="1">
      <c r="A1" s="38" t="s">
        <v>49</v>
      </c>
      <c r="B1" s="39"/>
      <c r="C1" s="40"/>
    </row>
    <row r="2">
      <c r="A2" s="41"/>
      <c r="B2" s="42" t="s">
        <v>5</v>
      </c>
      <c r="C2" s="42" t="s">
        <v>50</v>
      </c>
    </row>
    <row r="3">
      <c r="A3" s="43" t="s">
        <v>51</v>
      </c>
      <c r="B3" s="44">
        <f>12*2.1</f>
        <v>25.2</v>
      </c>
      <c r="C3" s="45">
        <f>12*0.98</f>
        <v>11.76</v>
      </c>
    </row>
    <row r="4">
      <c r="A4" s="43" t="s">
        <v>52</v>
      </c>
      <c r="B4" s="46">
        <v>80.88</v>
      </c>
      <c r="C4" s="45">
        <v>61.68</v>
      </c>
    </row>
    <row r="5">
      <c r="A5" s="43" t="s">
        <v>53</v>
      </c>
      <c r="B5" s="46">
        <v>26.57</v>
      </c>
      <c r="C5" s="45">
        <v>35.41</v>
      </c>
    </row>
    <row r="6">
      <c r="A6" s="43" t="s">
        <v>54</v>
      </c>
      <c r="B6" s="47">
        <f>55.2/60</f>
        <v>0.92</v>
      </c>
      <c r="C6" s="48">
        <f>54/60</f>
        <v>0.9</v>
      </c>
    </row>
    <row r="7">
      <c r="A7" s="43" t="s">
        <v>55</v>
      </c>
      <c r="B7" s="43">
        <v>8.32</v>
      </c>
      <c r="C7" s="43">
        <v>5.61</v>
      </c>
    </row>
    <row r="8">
      <c r="A8" s="43" t="s">
        <v>56</v>
      </c>
      <c r="B8" s="43">
        <v>100.0</v>
      </c>
      <c r="C8" s="43">
        <v>130.0</v>
      </c>
    </row>
    <row r="9">
      <c r="A9" s="43" t="s">
        <v>57</v>
      </c>
      <c r="B9" s="43">
        <v>60.0</v>
      </c>
      <c r="C9" s="43">
        <v>90.0</v>
      </c>
    </row>
    <row r="10">
      <c r="A10" s="43" t="s">
        <v>58</v>
      </c>
      <c r="B10" s="49">
        <v>0.35</v>
      </c>
      <c r="C10" s="40"/>
    </row>
    <row r="11">
      <c r="A11" s="43" t="s">
        <v>59</v>
      </c>
      <c r="B11" s="50">
        <v>1164.5</v>
      </c>
      <c r="C11" s="51">
        <v>1672.0</v>
      </c>
    </row>
  </sheetData>
  <mergeCells count="2">
    <mergeCell ref="A1:C1"/>
    <mergeCell ref="B10:C10"/>
  </mergeCells>
  <drawing r:id="rId2"/>
  <legacyDrawing r:id="rId3"/>
</worksheet>
</file>